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3930" activeTab="0"/>
  </bookViews>
  <sheets>
    <sheet name="BAREME IK - 2019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<sst xmlns="http://schemas.openxmlformats.org/spreadsheetml/2006/main" count="34" uniqueCount="28">
  <si>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 xml:space="preserve">Puissance administrative </t>
  </si>
  <si>
    <t xml:space="preserve"> </t>
  </si>
  <si>
    <t xml:space="preserve">4 CV </t>
  </si>
  <si>
    <t xml:space="preserve">5 CV </t>
  </si>
  <si>
    <t xml:space="preserve">6 CV </t>
  </si>
  <si>
    <t>3 CV</t>
  </si>
  <si>
    <t>Nombre de kms parcourus</t>
  </si>
  <si>
    <t>Indemnités déductibles</t>
  </si>
  <si>
    <t>Nombre de CV du véhicule</t>
  </si>
  <si>
    <t>Automobiles</t>
  </si>
  <si>
    <t xml:space="preserve">﻿Puissance administrative </t>
  </si>
  <si>
    <t xml:space="preserve">Jusqu’à 3 000 km </t>
  </si>
  <si>
    <t xml:space="preserve">De 3 001 à 6 000 km </t>
  </si>
  <si>
    <t xml:space="preserve">Au-delà de 6 000 km </t>
  </si>
  <si>
    <t>1 ou 2 CV</t>
  </si>
  <si>
    <t>3, 4 ou 5 CV</t>
  </si>
  <si>
    <t>Type ou nombre de CV</t>
  </si>
  <si>
    <t>Cyclomoteurs*, vélomoteurs, scooters, motocyclettes</t>
  </si>
  <si>
    <t xml:space="preserve">*  C’est-à-dire, pour les deux-roues, un véhicule dont la vitesse maximale par construction ne dépasse pas 45 km/h et équipé d’un moteur d’une cylindrée ne dépassant pas 50 cm³ s’il est à combustion interne, ou d’une puissance maximale nette n’excédant pas 4 kw pour les autres types de moteur. Il peut s’agir, selon les dénominations commerciales, de scooters, de vélomoteurs… 
</t>
  </si>
  <si>
    <t>Cyclomoteur*</t>
  </si>
  <si>
    <t>7 CV et plus</t>
  </si>
  <si>
    <t>Jusqu'à 5 000 km</t>
  </si>
  <si>
    <t>De 5001 à 20 000 km</t>
  </si>
  <si>
    <t>Au delà de 20 000 km</t>
  </si>
  <si>
    <t>6 CV et plus</t>
  </si>
  <si>
    <t>NB : Lorsque vous avez utilisé plusieurs véhicules au cours de l’année, le barème doit être appliqué de façon séparée à chacun des véhicules, en fonction de chaque puissance fiscale et du kilométrage parcouru par chaque véhicule dans l'année. Il n'y a pas lieu de procéder à la globalisation des kilomètres parcourus par l'ensemble des véhicules pour déterminer les frais d'utilisation correspondants, même si la puissance fiscale des véhicules utilisés est identique.</t>
  </si>
  <si>
    <t>Barèmes revenus de 2019</t>
  </si>
  <si>
    <t xml:space="preserve">Arrêté du 26 février 2020. 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</si>
</sst>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€&quot;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</numFmts>
  <fonts count="63">
    <font>
      <sz val="10"/>
      <name val="Arial"/>
      <family val="0"/>
    </font>
    <font>
      <b/>
      <sz val="10"/>
      <name val="Arial"/>
      <family val="2"/>
    </font>
    <font>
      <sz val="10"/>
      <color indexed="18"/>
      <name val="Arial"/>
      <family val="2"/>
    </font>
    <font>
      <sz val="8"/>
      <color indexed="55"/>
      <name val="Arial"/>
      <family val="2"/>
    </font>
    <font>
      <sz val="10"/>
      <color indexed="21"/>
      <name val="Arial"/>
      <family val="2"/>
    </font>
    <font>
      <sz val="11"/>
      <name val="Calibri"/>
      <family val="2"/>
    </font>
    <font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8"/>
      <color indexed="12"/>
      <name val="Arial"/>
      <family val="2"/>
    </font>
    <font>
      <b/>
      <sz val="10"/>
      <color indexed="56"/>
      <name val="Arial"/>
      <family val="2"/>
    </font>
    <font>
      <sz val="11"/>
      <color indexed="8"/>
      <name val="Arial"/>
      <family val="2"/>
    </font>
    <font>
      <b/>
      <sz val="16"/>
      <color indexed="9"/>
      <name val="Arial Baltic"/>
      <family val="2"/>
    </font>
    <font>
      <b/>
      <sz val="12"/>
      <color indexed="9"/>
      <name val="Arial Baltic"/>
      <family val="2"/>
    </font>
    <font>
      <b/>
      <sz val="18"/>
      <color indexed="63"/>
      <name val="Trebuchet MS"/>
      <family val="2"/>
    </font>
    <font>
      <b/>
      <sz val="9"/>
      <color indexed="63"/>
      <name val="Trebuchet MS"/>
      <family val="2"/>
    </font>
    <font>
      <sz val="8"/>
      <color indexed="63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8"/>
      <color theme="10"/>
      <name val="Arial"/>
      <family val="2"/>
    </font>
    <font>
      <b/>
      <sz val="10"/>
      <color theme="3" tint="-0.4999699890613556"/>
      <name val="Arial"/>
      <family val="2"/>
    </font>
    <font>
      <sz val="10"/>
      <color theme="3" tint="-0.4999699890613556"/>
      <name val="Arial"/>
      <family val="2"/>
    </font>
    <font>
      <sz val="11"/>
      <color theme="1"/>
      <name val="Arial"/>
      <family val="2"/>
    </font>
    <font>
      <b/>
      <sz val="16"/>
      <color theme="0"/>
      <name val="Arial Baltic"/>
      <family val="2"/>
    </font>
    <font>
      <b/>
      <sz val="12"/>
      <color theme="0"/>
      <name val="Arial Baltic"/>
      <family val="2"/>
    </font>
    <font>
      <b/>
      <sz val="18"/>
      <color theme="1" tint="0.15000000596046448"/>
      <name val="Trebuchet MS"/>
      <family val="2"/>
    </font>
    <font>
      <b/>
      <sz val="9"/>
      <color theme="1" tint="0.15000000596046448"/>
      <name val="Trebuchet MS"/>
      <family val="2"/>
    </font>
    <font>
      <sz val="8"/>
      <color theme="1" tint="0.1500000059604644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22"/>
      </left>
      <right style="double">
        <color indexed="22"/>
      </right>
      <top style="double">
        <color indexed="22"/>
      </top>
      <bottom style="double">
        <color indexed="22"/>
      </bottom>
    </border>
    <border>
      <left>
        <color indexed="63"/>
      </left>
      <right style="medium">
        <color rgb="FFCCCCCC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40" fillId="27" borderId="1" applyNumberFormat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33">
    <xf numFmtId="0" fontId="0" fillId="0" borderId="0" xfId="0" applyAlignment="1">
      <alignment/>
    </xf>
    <xf numFmtId="0" fontId="0" fillId="33" borderId="0" xfId="0" applyFill="1" applyAlignment="1">
      <alignment/>
    </xf>
    <xf numFmtId="166" fontId="1" fillId="33" borderId="10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3" fillId="33" borderId="0" xfId="0" applyFont="1" applyFill="1" applyAlignment="1">
      <alignment horizontal="left" wrapText="1"/>
    </xf>
    <xf numFmtId="0" fontId="4" fillId="33" borderId="0" xfId="0" applyFont="1" applyFill="1" applyAlignment="1">
      <alignment/>
    </xf>
    <xf numFmtId="0" fontId="5" fillId="0" borderId="0" xfId="0" applyNumberFormat="1" applyFont="1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/>
      <protection locked="0"/>
    </xf>
    <xf numFmtId="0" fontId="54" fillId="33" borderId="0" xfId="44" applyFont="1" applyFill="1" applyAlignment="1" applyProtection="1">
      <alignment horizontal="center" vertical="center"/>
      <protection/>
    </xf>
    <xf numFmtId="0" fontId="35" fillId="0" borderId="0" xfId="55">
      <alignment/>
      <protection/>
    </xf>
    <xf numFmtId="0" fontId="0" fillId="34" borderId="0" xfId="0" applyFill="1" applyAlignment="1">
      <alignment/>
    </xf>
    <xf numFmtId="0" fontId="55" fillId="34" borderId="0" xfId="0" applyFont="1" applyFill="1" applyAlignment="1">
      <alignment horizontal="center"/>
    </xf>
    <xf numFmtId="0" fontId="2" fillId="34" borderId="0" xfId="0" applyFont="1" applyFill="1" applyAlignment="1">
      <alignment/>
    </xf>
    <xf numFmtId="0" fontId="1" fillId="34" borderId="0" xfId="0" applyFont="1" applyFill="1" applyAlignment="1">
      <alignment horizontal="center"/>
    </xf>
    <xf numFmtId="0" fontId="0" fillId="34" borderId="0" xfId="0" applyFont="1" applyFill="1" applyAlignment="1">
      <alignment/>
    </xf>
    <xf numFmtId="0" fontId="56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0" fillId="34" borderId="0" xfId="0" applyFill="1" applyBorder="1" applyAlignment="1">
      <alignment/>
    </xf>
    <xf numFmtId="166" fontId="1" fillId="35" borderId="10" xfId="0" applyNumberFormat="1" applyFont="1" applyFill="1" applyBorder="1" applyAlignment="1" applyProtection="1">
      <alignment horizontal="center"/>
      <protection locked="0"/>
    </xf>
    <xf numFmtId="166" fontId="1" fillId="35" borderId="10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57" fillId="0" borderId="0" xfId="0" applyFont="1" applyAlignment="1">
      <alignment vertical="center" wrapText="1"/>
    </xf>
    <xf numFmtId="0" fontId="57" fillId="0" borderId="11" xfId="0" applyFont="1" applyBorder="1" applyAlignment="1">
      <alignment vertical="center" wrapText="1"/>
    </xf>
    <xf numFmtId="3" fontId="1" fillId="33" borderId="10" xfId="0" applyNumberFormat="1" applyFont="1" applyFill="1" applyBorder="1" applyAlignment="1" applyProtection="1">
      <alignment horizontal="center"/>
      <protection locked="0"/>
    </xf>
    <xf numFmtId="3" fontId="1" fillId="35" borderId="10" xfId="0" applyNumberFormat="1" applyFont="1" applyFill="1" applyBorder="1" applyAlignment="1" applyProtection="1">
      <alignment horizontal="center"/>
      <protection locked="0"/>
    </xf>
    <xf numFmtId="0" fontId="58" fillId="36" borderId="0" xfId="0" applyFont="1" applyFill="1" applyAlignment="1">
      <alignment horizontal="center" vertical="center"/>
    </xf>
    <xf numFmtId="0" fontId="59" fillId="36" borderId="0" xfId="0" applyFont="1" applyFill="1" applyAlignment="1">
      <alignment horizontal="center" vertical="center" wrapText="1"/>
    </xf>
    <xf numFmtId="0" fontId="60" fillId="33" borderId="0" xfId="0" applyFont="1" applyFill="1" applyAlignment="1">
      <alignment horizontal="center" vertical="center"/>
    </xf>
    <xf numFmtId="0" fontId="61" fillId="33" borderId="0" xfId="0" applyFont="1" applyFill="1" applyAlignment="1">
      <alignment horizontal="center" vertical="center"/>
    </xf>
    <xf numFmtId="0" fontId="62" fillId="33" borderId="0" xfId="0" applyFont="1" applyFill="1" applyAlignment="1">
      <alignment horizontal="left" vertical="center" wrapText="1"/>
    </xf>
    <xf numFmtId="0" fontId="62" fillId="33" borderId="0" xfId="0" applyFont="1" applyFill="1" applyAlignment="1">
      <alignment horizontal="left" vertical="top" wrapText="1"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rmal 3" xfId="52"/>
    <cellStyle name="Normal 4" xfId="53"/>
    <cellStyle name="Normal 5" xfId="54"/>
    <cellStyle name="Normal 6" xfId="55"/>
    <cellStyle name="Note" xfId="56"/>
    <cellStyle name="Percent" xfId="57"/>
    <cellStyle name="Satisfaisant" xfId="58"/>
    <cellStyle name="Sortie" xfId="59"/>
    <cellStyle name="Texte explicatif" xfId="60"/>
    <cellStyle name="Titre" xfId="61"/>
    <cellStyle name="Titre 1" xfId="62"/>
    <cellStyle name="Titre 2" xfId="63"/>
    <cellStyle name="Titre 3" xfId="64"/>
    <cellStyle name="Titre 4" xfId="65"/>
    <cellStyle name="Total" xfId="66"/>
    <cellStyle name="Vérification" xfId="67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180975</xdr:colOff>
      <xdr:row>1</xdr:row>
      <xdr:rowOff>857250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61925"/>
          <a:ext cx="23526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44"/>
  <sheetViews>
    <sheetView showGridLines="0" showRowColHeaders="0" tabSelected="1" zoomScalePageLayoutView="0" workbookViewId="0" topLeftCell="B1">
      <selection activeCell="C8" sqref="C8"/>
    </sheetView>
  </sheetViews>
  <sheetFormatPr defaultColWidth="11.421875" defaultRowHeight="12.75"/>
  <cols>
    <col min="1" max="1" width="6.140625" style="1" customWidth="1"/>
    <col min="2" max="2" width="32.57421875" style="1" customWidth="1"/>
    <col min="3" max="3" width="16.140625" style="1" bestFit="1" customWidth="1"/>
    <col min="4" max="4" width="23.8515625" style="1" customWidth="1"/>
    <col min="5" max="5" width="19.8515625" style="1" bestFit="1" customWidth="1"/>
    <col min="6" max="6" width="15.00390625" style="1" customWidth="1"/>
    <col min="7" max="7" width="20.28125" style="1" customWidth="1"/>
    <col min="8" max="8" width="13.7109375" style="1" customWidth="1"/>
    <col min="9" max="16384" width="11.421875" style="1" customWidth="1"/>
  </cols>
  <sheetData>
    <row r="2" ht="78.75" customHeight="1"/>
    <row r="3" spans="2:4" ht="21.75" customHeight="1">
      <c r="B3" s="29" t="s">
        <v>26</v>
      </c>
      <c r="C3" s="29"/>
      <c r="D3" s="29"/>
    </row>
    <row r="4" spans="2:4" ht="27" customHeight="1">
      <c r="B4" s="30" t="s">
        <v>27</v>
      </c>
      <c r="C4" s="30"/>
      <c r="D4" s="30"/>
    </row>
    <row r="5" spans="2:6" ht="12" customHeight="1">
      <c r="B5" s="8"/>
      <c r="C5" s="8"/>
      <c r="D5" s="3"/>
      <c r="E5" s="3"/>
      <c r="F5" s="3"/>
    </row>
    <row r="6" spans="2:6" ht="19.5" customHeight="1">
      <c r="B6" s="27" t="s">
        <v>9</v>
      </c>
      <c r="C6" s="27"/>
      <c r="D6" s="27"/>
      <c r="E6" s="3"/>
      <c r="F6" s="3"/>
    </row>
    <row r="7" spans="2:6" ht="15" customHeight="1" thickBot="1">
      <c r="B7" s="10"/>
      <c r="C7" s="10"/>
      <c r="D7" s="19"/>
      <c r="E7" s="3"/>
      <c r="F7" s="3"/>
    </row>
    <row r="8" spans="2:6" ht="14.25" thickBot="1" thickTop="1">
      <c r="B8" s="11" t="s">
        <v>8</v>
      </c>
      <c r="C8" s="7"/>
      <c r="D8" s="19"/>
      <c r="E8" s="3"/>
      <c r="F8" s="3"/>
    </row>
    <row r="9" spans="2:6" ht="7.5" customHeight="1" thickBot="1" thickTop="1">
      <c r="B9" s="11"/>
      <c r="C9" s="13"/>
      <c r="D9" s="19"/>
      <c r="E9" s="3"/>
      <c r="F9" s="3"/>
    </row>
    <row r="10" spans="2:6" ht="14.25" thickBot="1" thickTop="1">
      <c r="B10" s="11" t="s">
        <v>6</v>
      </c>
      <c r="C10" s="25"/>
      <c r="D10" s="19"/>
      <c r="E10" s="3"/>
      <c r="F10" s="3"/>
    </row>
    <row r="11" spans="2:6" ht="13.5" thickTop="1">
      <c r="B11" s="11"/>
      <c r="C11" s="14"/>
      <c r="D11" s="19"/>
      <c r="E11" s="3"/>
      <c r="F11" s="3"/>
    </row>
    <row r="12" spans="2:6" ht="13.5" thickBot="1">
      <c r="B12" s="11"/>
      <c r="C12" s="14"/>
      <c r="D12" s="19"/>
      <c r="E12" s="3"/>
      <c r="F12" s="3"/>
    </row>
    <row r="13" spans="2:6" ht="14.25" thickBot="1" thickTop="1">
      <c r="B13" s="11" t="s">
        <v>7</v>
      </c>
      <c r="C13" s="2">
        <f>SUM(I31:I35)</f>
        <v>0</v>
      </c>
      <c r="D13" s="19"/>
      <c r="E13" s="3"/>
      <c r="F13" s="3"/>
    </row>
    <row r="14" spans="2:6" ht="13.5" thickTop="1">
      <c r="B14" s="12"/>
      <c r="C14" s="10"/>
      <c r="D14" s="19"/>
      <c r="E14" s="3"/>
      <c r="F14" s="3"/>
    </row>
    <row r="16" spans="2:4" ht="64.5" customHeight="1">
      <c r="B16" s="32" t="s">
        <v>25</v>
      </c>
      <c r="C16" s="32"/>
      <c r="D16" s="32"/>
    </row>
    <row r="17" ht="37.5" customHeight="1"/>
    <row r="18" spans="2:4" ht="30.75" customHeight="1">
      <c r="B18" s="28" t="s">
        <v>17</v>
      </c>
      <c r="C18" s="28"/>
      <c r="D18" s="28"/>
    </row>
    <row r="19" spans="2:4" ht="13.5" thickBot="1">
      <c r="B19" s="10"/>
      <c r="C19" s="10"/>
      <c r="D19" s="10"/>
    </row>
    <row r="20" spans="2:4" ht="14.25" thickBot="1" thickTop="1">
      <c r="B20" s="11" t="s">
        <v>16</v>
      </c>
      <c r="C20" s="20"/>
      <c r="D20" s="10"/>
    </row>
    <row r="21" spans="2:4" ht="14.25" thickBot="1" thickTop="1">
      <c r="B21" s="15"/>
      <c r="C21" s="16"/>
      <c r="D21" s="10"/>
    </row>
    <row r="22" spans="2:4" ht="14.25" thickBot="1" thickTop="1">
      <c r="B22" s="11" t="s">
        <v>6</v>
      </c>
      <c r="C22" s="26"/>
      <c r="D22" s="10"/>
    </row>
    <row r="23" spans="2:4" ht="13.5" thickTop="1">
      <c r="B23" s="11"/>
      <c r="C23" s="16"/>
      <c r="D23" s="10"/>
    </row>
    <row r="24" spans="2:4" ht="13.5" thickBot="1">
      <c r="B24" s="11"/>
      <c r="C24" s="16"/>
      <c r="D24" s="10"/>
    </row>
    <row r="25" spans="2:4" ht="14.25" thickBot="1" thickTop="1">
      <c r="B25" s="11" t="s">
        <v>7</v>
      </c>
      <c r="C25" s="21">
        <f>I39+I42+I43+I44</f>
        <v>0</v>
      </c>
      <c r="D25" s="10"/>
    </row>
    <row r="26" spans="2:4" ht="13.5" thickTop="1">
      <c r="B26" s="17"/>
      <c r="C26" s="18"/>
      <c r="D26" s="10"/>
    </row>
    <row r="27" spans="2:3" ht="12.75">
      <c r="B27" s="5"/>
      <c r="C27" s="5"/>
    </row>
    <row r="28" spans="2:8" ht="58.5" customHeight="1">
      <c r="B28" s="31" t="s">
        <v>18</v>
      </c>
      <c r="C28" s="31"/>
      <c r="D28" s="31"/>
      <c r="E28" s="4"/>
      <c r="F28" s="4"/>
      <c r="G28" s="4"/>
      <c r="H28" s="4"/>
    </row>
    <row r="30" spans="2:6" ht="12.75" hidden="1">
      <c r="B30" s="1" t="s">
        <v>0</v>
      </c>
      <c r="C30" s="1" t="s">
        <v>21</v>
      </c>
      <c r="D30" s="1" t="s">
        <v>22</v>
      </c>
      <c r="E30" s="1" t="s">
        <v>23</v>
      </c>
      <c r="F30" s="1" t="s">
        <v>1</v>
      </c>
    </row>
    <row r="31" spans="2:9" ht="14.25" hidden="1">
      <c r="B31" s="1" t="s">
        <v>5</v>
      </c>
      <c r="C31" s="23">
        <f>C10*0.456</f>
        <v>0</v>
      </c>
      <c r="D31" s="23">
        <f>(C10*0.273)+915</f>
        <v>915</v>
      </c>
      <c r="E31" s="24">
        <f>C10*0.318</f>
        <v>0</v>
      </c>
      <c r="F31" s="1">
        <f>IF($C$10&lt;=5000,C31,0)</f>
        <v>0</v>
      </c>
      <c r="G31" s="1">
        <f>IF(AND($C$10&gt;5000,$C$10&lt;=20000),D31,0)</f>
        <v>0</v>
      </c>
      <c r="H31" s="1">
        <f>IF($C$10&gt;20000,E31,0)</f>
        <v>0</v>
      </c>
      <c r="I31" s="1">
        <f>IF($C$8="3 CV",F31+G31+H31,0)</f>
        <v>0</v>
      </c>
    </row>
    <row r="32" spans="2:9" ht="14.25" hidden="1">
      <c r="B32" s="1" t="s">
        <v>2</v>
      </c>
      <c r="C32" s="23">
        <f>C10*0.523</f>
        <v>0</v>
      </c>
      <c r="D32" s="23">
        <f>(C10*0.294)+1147</f>
        <v>1147</v>
      </c>
      <c r="E32" s="24">
        <f>C10*0.352</f>
        <v>0</v>
      </c>
      <c r="F32" s="1">
        <f>IF($C$10&lt;=5000,C32,0)</f>
        <v>0</v>
      </c>
      <c r="G32" s="1">
        <f>IF(AND($C$10&gt;5000,$C$10&lt;=20000),D32,0)</f>
        <v>0</v>
      </c>
      <c r="H32" s="1">
        <f>IF($C$10&gt;20000,E32,0)</f>
        <v>0</v>
      </c>
      <c r="I32" s="1">
        <f>IF($C$8="4 CV",F32+G32+H32,0)</f>
        <v>0</v>
      </c>
    </row>
    <row r="33" spans="2:9" ht="14.25" hidden="1">
      <c r="B33" s="1" t="s">
        <v>3</v>
      </c>
      <c r="C33" s="23">
        <f>C10*0.548</f>
        <v>0</v>
      </c>
      <c r="D33" s="23">
        <f>(C10*0.308)+1200</f>
        <v>1200</v>
      </c>
      <c r="E33" s="24">
        <f>C10*0.368</f>
        <v>0</v>
      </c>
      <c r="F33" s="1">
        <f>IF($C$10&lt;=5000,C33,0)</f>
        <v>0</v>
      </c>
      <c r="G33" s="1">
        <f>IF(AND($C$10&gt;5000,$C$10&lt;=20000),D33,0)</f>
        <v>0</v>
      </c>
      <c r="H33" s="1">
        <f>IF($C$10&gt;20000,E33,0)</f>
        <v>0</v>
      </c>
      <c r="I33" s="1">
        <f>IF($C$8="5 CV",F33+G33+H33,0)</f>
        <v>0</v>
      </c>
    </row>
    <row r="34" spans="2:9" ht="14.25" hidden="1">
      <c r="B34" s="1" t="s">
        <v>4</v>
      </c>
      <c r="C34" s="23">
        <f>C10*0.574</f>
        <v>0</v>
      </c>
      <c r="D34" s="23">
        <f>(C10*0.323)+1256</f>
        <v>1256</v>
      </c>
      <c r="E34" s="24">
        <f>C10*0.386</f>
        <v>0</v>
      </c>
      <c r="F34" s="1">
        <f>IF($C$10&lt;=5000,C34,0)</f>
        <v>0</v>
      </c>
      <c r="G34" s="1">
        <f>IF(AND($C$10&gt;5000,$C$10&lt;=20000),D34,0)</f>
        <v>0</v>
      </c>
      <c r="H34" s="1">
        <f>IF($C$10&gt;20000,E34,0)</f>
        <v>0</v>
      </c>
      <c r="I34" s="1">
        <f>IF($C$8="6 CV",F34+G34+H34,0)</f>
        <v>0</v>
      </c>
    </row>
    <row r="35" spans="2:9" ht="14.25" hidden="1">
      <c r="B35" s="1" t="s">
        <v>20</v>
      </c>
      <c r="C35" s="23">
        <f>C10*0.601</f>
        <v>0</v>
      </c>
      <c r="D35" s="23">
        <f>(C10*0.34)+1301</f>
        <v>1301</v>
      </c>
      <c r="E35" s="24">
        <f>C10*0.405</f>
        <v>0</v>
      </c>
      <c r="F35" s="1">
        <f>IF($C$10&lt;=5000,C35,0)</f>
        <v>0</v>
      </c>
      <c r="G35" s="1">
        <f>IF(AND($C$10&gt;5000,$C$10&lt;=20000),D35,0)</f>
        <v>0</v>
      </c>
      <c r="H35" s="1">
        <f>IF($C$10&gt;20000,E35,0)</f>
        <v>0</v>
      </c>
      <c r="I35" s="1">
        <f>IF($C$8="7 CV et plus",F35+G35+H35,0)</f>
        <v>0</v>
      </c>
    </row>
    <row r="36" ht="12.75" hidden="1"/>
    <row r="37" ht="12.75" hidden="1"/>
    <row r="38" spans="3:5" ht="12.75" hidden="1">
      <c r="C38" s="22" t="s">
        <v>11</v>
      </c>
      <c r="D38" s="22" t="s">
        <v>12</v>
      </c>
      <c r="E38" s="22" t="s">
        <v>13</v>
      </c>
    </row>
    <row r="39" spans="2:9" ht="15" hidden="1">
      <c r="B39" s="1" t="s">
        <v>19</v>
      </c>
      <c r="C39" s="6">
        <f>C22*0.272</f>
        <v>0</v>
      </c>
      <c r="D39" s="6">
        <f>(C22*0.064)+416</f>
        <v>416</v>
      </c>
      <c r="E39" s="6">
        <f>C22*0.147</f>
        <v>0</v>
      </c>
      <c r="F39" s="1">
        <f>IF($C$22&lt;=3000,C39,0)</f>
        <v>0</v>
      </c>
      <c r="G39" s="1">
        <f>IF(AND($C$22&gt;3000,$C$22&lt;6000),D39,0)</f>
        <v>0</v>
      </c>
      <c r="H39" s="1">
        <f>IF($C$22&gt;6000,E39,0)</f>
        <v>0</v>
      </c>
      <c r="I39" s="1">
        <f>IF(C20=B39,F39+G39+H39,0)</f>
        <v>0</v>
      </c>
    </row>
    <row r="40" ht="12.75" hidden="1"/>
    <row r="41" spans="2:6" ht="12.75" hidden="1">
      <c r="B41" s="1" t="s">
        <v>10</v>
      </c>
      <c r="C41" s="1" t="s">
        <v>11</v>
      </c>
      <c r="D41" s="1" t="s">
        <v>12</v>
      </c>
      <c r="E41" s="1" t="s">
        <v>13</v>
      </c>
      <c r="F41" s="1" t="s">
        <v>1</v>
      </c>
    </row>
    <row r="42" spans="2:9" ht="15" hidden="1">
      <c r="B42" s="1" t="s">
        <v>14</v>
      </c>
      <c r="C42" s="9">
        <f>C22*0.341</f>
        <v>0</v>
      </c>
      <c r="D42" s="9">
        <f>(C22*0.085)+768</f>
        <v>768</v>
      </c>
      <c r="E42" s="9">
        <f>C22*0.213</f>
        <v>0</v>
      </c>
      <c r="F42" s="1">
        <f>IF($C$22&lt;=3000,C42,0)</f>
        <v>0</v>
      </c>
      <c r="G42" s="1">
        <f>IF(AND($C$22&gt;3000,$C$22&lt;6000),D42,0)</f>
        <v>0</v>
      </c>
      <c r="H42" s="1">
        <f>IF($C$22&gt;6000,E42,0)</f>
        <v>0</v>
      </c>
      <c r="I42" s="1">
        <f>IF($C$20=B42,F42+G42+H42,0)</f>
        <v>0</v>
      </c>
    </row>
    <row r="43" spans="2:9" ht="15" hidden="1">
      <c r="B43" s="1" t="s">
        <v>15</v>
      </c>
      <c r="C43" s="9">
        <f>C22*0.404</f>
        <v>0</v>
      </c>
      <c r="D43" s="9">
        <f>(C22*0.071)+999</f>
        <v>999</v>
      </c>
      <c r="E43" s="9">
        <f>C22*0.237</f>
        <v>0</v>
      </c>
      <c r="F43" s="1">
        <f>IF($C$22&lt;=3000,C43,0)</f>
        <v>0</v>
      </c>
      <c r="G43" s="1">
        <f>IF(AND($C$22&gt;3000,$C$22&lt;6000),D43,0)</f>
        <v>0</v>
      </c>
      <c r="H43" s="1">
        <f>IF($C$22&gt;6000,E43,0)</f>
        <v>0</v>
      </c>
      <c r="I43" s="1">
        <f>IF($C$20=B43,F43+G43+H43,0)</f>
        <v>0</v>
      </c>
    </row>
    <row r="44" spans="2:9" ht="15" hidden="1">
      <c r="B44" s="22" t="s">
        <v>24</v>
      </c>
      <c r="C44" s="9">
        <f>C22*0.523</f>
        <v>0</v>
      </c>
      <c r="D44" s="9">
        <f>(C22*0.068)+1365</f>
        <v>1365</v>
      </c>
      <c r="E44" s="9">
        <f>C22*0.295</f>
        <v>0</v>
      </c>
      <c r="F44" s="1">
        <f>IF($C$22&lt;=3000,C44,0)</f>
        <v>0</v>
      </c>
      <c r="G44" s="1">
        <f>IF(AND($C$22&gt;3000,$C$22&lt;6000),D44,0)</f>
        <v>0</v>
      </c>
      <c r="H44" s="1">
        <f>IF($C$22&gt;6000,E44,0)</f>
        <v>0</v>
      </c>
      <c r="I44" s="1">
        <f>IF($C$20=B44,F44+G44+H44,0)</f>
        <v>0</v>
      </c>
    </row>
    <row r="45" ht="12.75" hidden="1"/>
    <row r="46" ht="12.75" hidden="1"/>
  </sheetData>
  <sheetProtection password="E7FD" sheet="1" selectLockedCells="1"/>
  <mergeCells count="6">
    <mergeCell ref="B6:D6"/>
    <mergeCell ref="B18:D18"/>
    <mergeCell ref="B3:D3"/>
    <mergeCell ref="B4:D4"/>
    <mergeCell ref="B28:D28"/>
    <mergeCell ref="B16:D16"/>
  </mergeCells>
  <conditionalFormatting sqref="C25 C13">
    <cfRule type="cellIs" priority="1" dxfId="0" operator="equal" stopIfTrue="1">
      <formula>0</formula>
    </cfRule>
  </conditionalFormatting>
  <dataValidations count="4">
    <dataValidation type="list" allowBlank="1" showInputMessage="1" showErrorMessage="1" errorTitle="Message VigiPL" error="Vous devez choisir une puissance dans la liste." sqref="C8">
      <formula1>"3 CV,4 CV,5 CV,6 CV,7 CV et plus,"</formula1>
    </dataValidation>
    <dataValidation type="list" allowBlank="1" showInputMessage="1" showErrorMessage="1" errorTitle="Message VigiPL" error="Vous devez choisir une puissance dans la liste." sqref="C20">
      <formula1>"Cyclomoteur*,1 ou 2 CV,3, 4 ou 5 CV,6 CV et plus,"</formula1>
    </dataValidation>
    <dataValidation type="whole" allowBlank="1" showInputMessage="1" showErrorMessage="1" errorTitle="Message VigiPL" error="Insérez un nombre compris entre 0 et 10000000" sqref="C10">
      <formula1>0</formula1>
      <formula2>10000000000</formula2>
    </dataValidation>
    <dataValidation type="whole" allowBlank="1" showInputMessage="1" showErrorMessage="1" errorTitle="Message VigiPL" error="Insérez un nombre compris entre 0 et 10000000" sqref="C22">
      <formula1>0</formula1>
      <formula2>1000000000000</formula2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Famille DURAND</dc:creator>
  <cp:keywords/>
  <dc:description/>
  <cp:lastModifiedBy>Silvain Durand</cp:lastModifiedBy>
  <dcterms:created xsi:type="dcterms:W3CDTF">2008-02-22T10:19:33Z</dcterms:created>
  <dcterms:modified xsi:type="dcterms:W3CDTF">2020-03-03T22:25:58Z</dcterms:modified>
  <cp:category/>
  <cp:version/>
  <cp:contentType/>
  <cp:contentStatus/>
</cp:coreProperties>
</file>